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Ar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6" i="1" l="1"/>
  <c r="C45" i="1"/>
  <c r="E45" i="1" s="1"/>
  <c r="C44" i="1"/>
  <c r="C43" i="1"/>
  <c r="J52" i="1"/>
  <c r="J51" i="1"/>
  <c r="J40" i="1"/>
  <c r="F35" i="1"/>
  <c r="F43" i="1"/>
  <c r="J42" i="1"/>
  <c r="E42" i="1"/>
  <c r="E43" i="1"/>
  <c r="J43" i="1" s="1"/>
  <c r="F44" i="1" s="1"/>
  <c r="E44" i="1"/>
  <c r="E46" i="1"/>
  <c r="D42" i="1"/>
  <c r="D43" i="1"/>
  <c r="D44" i="1"/>
  <c r="D45" i="1"/>
  <c r="D46" i="1"/>
  <c r="D34" i="1"/>
  <c r="B45" i="1"/>
  <c r="B46" i="1"/>
  <c r="B44" i="1"/>
  <c r="B43" i="1"/>
  <c r="B42" i="1"/>
  <c r="C42" i="1"/>
  <c r="B34" i="1"/>
  <c r="J44" i="1" l="1"/>
  <c r="F45" i="1" s="1"/>
  <c r="J45" i="1" s="1"/>
  <c r="F46" i="1" s="1"/>
  <c r="J46" i="1" s="1"/>
  <c r="J47" i="1" s="1"/>
  <c r="J53" i="1" s="1"/>
  <c r="J50" i="1"/>
  <c r="C38" i="1" l="1"/>
  <c r="C39" i="1" s="1"/>
  <c r="E39" i="1" s="1"/>
  <c r="B38" i="1"/>
  <c r="D38" i="1" s="1"/>
  <c r="C29" i="1"/>
  <c r="E29" i="1" s="1"/>
  <c r="C36" i="1"/>
  <c r="E36" i="1" s="1"/>
  <c r="B36" i="1"/>
  <c r="B37" i="1" s="1"/>
  <c r="D37" i="1" s="1"/>
  <c r="C34" i="1"/>
  <c r="C35" i="1" s="1"/>
  <c r="E35" i="1" s="1"/>
  <c r="B35" i="1"/>
  <c r="D35" i="1" s="1"/>
  <c r="C30" i="1"/>
  <c r="E30" i="1" s="1"/>
  <c r="B22" i="1"/>
  <c r="B23" i="1" s="1"/>
  <c r="D23" i="1" s="1"/>
  <c r="C22" i="1"/>
  <c r="E22" i="1" s="1"/>
  <c r="B30" i="1"/>
  <c r="D30" i="1" s="1"/>
  <c r="B29" i="1"/>
  <c r="D29" i="1" s="1"/>
  <c r="C28" i="1"/>
  <c r="E28" i="1" s="1"/>
  <c r="B18" i="1"/>
  <c r="D18" i="1" s="1"/>
  <c r="B26" i="1"/>
  <c r="B27" i="1" s="1"/>
  <c r="D27" i="1" s="1"/>
  <c r="C26" i="1"/>
  <c r="C27" i="1" s="1"/>
  <c r="E27" i="1" s="1"/>
  <c r="F26" i="1"/>
  <c r="F34" i="1"/>
  <c r="F18" i="1"/>
  <c r="C18" i="1"/>
  <c r="C19" i="1" s="1"/>
  <c r="E19" i="1" s="1"/>
  <c r="E18" i="1"/>
  <c r="D20" i="1"/>
  <c r="E20" i="1"/>
  <c r="D21" i="1"/>
  <c r="E21" i="1"/>
  <c r="D28" i="1"/>
  <c r="F10" i="1"/>
  <c r="D13" i="1"/>
  <c r="E13" i="1"/>
  <c r="E14" i="1"/>
  <c r="B15" i="1"/>
  <c r="D15" i="1" s="1"/>
  <c r="B14" i="1"/>
  <c r="D14" i="1" s="1"/>
  <c r="C15" i="1"/>
  <c r="E15" i="1" s="1"/>
  <c r="C11" i="1"/>
  <c r="E11" i="1" s="1"/>
  <c r="B11" i="1"/>
  <c r="D11" i="1" s="1"/>
  <c r="E10" i="1"/>
  <c r="D10" i="1"/>
  <c r="E38" i="1" l="1"/>
  <c r="B19" i="1"/>
  <c r="D19" i="1" s="1"/>
  <c r="C37" i="1"/>
  <c r="E37" i="1" s="1"/>
  <c r="E26" i="1"/>
  <c r="E34" i="1"/>
  <c r="C23" i="1"/>
  <c r="E23" i="1" s="1"/>
  <c r="D36" i="1"/>
  <c r="B12" i="1"/>
  <c r="D12" i="1" s="1"/>
  <c r="B39" i="1"/>
  <c r="D39" i="1" s="1"/>
  <c r="J10" i="1"/>
  <c r="F11" i="1" s="1"/>
  <c r="J11" i="1" s="1"/>
  <c r="F12" i="1" s="1"/>
  <c r="C12" i="1"/>
  <c r="E12" i="1" s="1"/>
  <c r="D26" i="1"/>
  <c r="B31" i="1"/>
  <c r="D31" i="1" s="1"/>
  <c r="C31" i="1"/>
  <c r="E31" i="1" s="1"/>
  <c r="D22" i="1"/>
  <c r="J18" i="1"/>
  <c r="J34" i="1" l="1"/>
  <c r="J35" i="1" s="1"/>
  <c r="F36" i="1" s="1"/>
  <c r="J36" i="1" s="1"/>
  <c r="F37" i="1" s="1"/>
  <c r="J37" i="1" s="1"/>
  <c r="J12" i="1"/>
  <c r="F13" i="1" s="1"/>
  <c r="J13" i="1" s="1"/>
  <c r="F14" i="1" s="1"/>
  <c r="J14" i="1" s="1"/>
  <c r="F15" i="1" s="1"/>
  <c r="J15" i="1" s="1"/>
  <c r="J16" i="1" s="1"/>
  <c r="F19" i="1"/>
  <c r="J19" i="1" s="1"/>
  <c r="J26" i="1"/>
  <c r="F20" i="1" l="1"/>
  <c r="J20" i="1" s="1"/>
  <c r="F21" i="1" s="1"/>
  <c r="J21" i="1" s="1"/>
  <c r="F22" i="1" s="1"/>
  <c r="J22" i="1" s="1"/>
  <c r="F23" i="1" s="1"/>
  <c r="J23" i="1" s="1"/>
  <c r="J24" i="1" s="1"/>
  <c r="F38" i="1"/>
  <c r="J38" i="1" s="1"/>
  <c r="F27" i="1"/>
  <c r="J27" i="1" s="1"/>
  <c r="F28" i="1" s="1"/>
  <c r="J28" i="1" s="1"/>
  <c r="F29" i="1" s="1"/>
  <c r="J29" i="1" s="1"/>
  <c r="F30" i="1" l="1"/>
  <c r="J30" i="1" s="1"/>
  <c r="F39" i="1"/>
  <c r="J39" i="1" s="1"/>
  <c r="F31" i="1" l="1"/>
  <c r="J31" i="1" s="1"/>
  <c r="J32" i="1" s="1"/>
</calcChain>
</file>

<file path=xl/sharedStrings.xml><?xml version="1.0" encoding="utf-8"?>
<sst xmlns="http://schemas.openxmlformats.org/spreadsheetml/2006/main" count="58" uniqueCount="58">
  <si>
    <t>Tordenskjolds gate</t>
  </si>
  <si>
    <t>Strekk 1</t>
  </si>
  <si>
    <t>Strekk 2</t>
  </si>
  <si>
    <t>Strekk 3</t>
  </si>
  <si>
    <t>Strekk 4</t>
  </si>
  <si>
    <t>Strekk 5</t>
  </si>
  <si>
    <t>Strekk 6</t>
  </si>
  <si>
    <t>Kristian Ivs gate</t>
  </si>
  <si>
    <t>Strekk 7</t>
  </si>
  <si>
    <t xml:space="preserve">Strekk 8 </t>
  </si>
  <si>
    <t>Strekk 9</t>
  </si>
  <si>
    <t>Strekk 10</t>
  </si>
  <si>
    <t>Strekk 11</t>
  </si>
  <si>
    <t>Strekk 12</t>
  </si>
  <si>
    <t>Henrik Wergelands gate</t>
  </si>
  <si>
    <t>Strekk 13</t>
  </si>
  <si>
    <t>Strekk 14</t>
  </si>
  <si>
    <t>Strekk 15</t>
  </si>
  <si>
    <t>Strekk 16</t>
  </si>
  <si>
    <t>Strekk 17</t>
  </si>
  <si>
    <t>Strekk 18</t>
  </si>
  <si>
    <t>Skippergata</t>
  </si>
  <si>
    <t>Strekk 19</t>
  </si>
  <si>
    <t>Strekk 20</t>
  </si>
  <si>
    <t>Strekk 21</t>
  </si>
  <si>
    <t>Strekk 22</t>
  </si>
  <si>
    <t>Strekk 23</t>
  </si>
  <si>
    <t>Strekk 24</t>
  </si>
  <si>
    <t xml:space="preserve">Vestre Strandgate </t>
  </si>
  <si>
    <t>Strekk 25</t>
  </si>
  <si>
    <t>Strekk 26</t>
  </si>
  <si>
    <t>Antall PE</t>
  </si>
  <si>
    <t>Q tilført fra oversiden</t>
  </si>
  <si>
    <t>Q storforbrukere (m3/år)</t>
  </si>
  <si>
    <t>Fmax</t>
  </si>
  <si>
    <t>Kmax</t>
  </si>
  <si>
    <t>Fremtidig utbygning</t>
  </si>
  <si>
    <t>QPE l/s</t>
  </si>
  <si>
    <t>Qstor L/s</t>
  </si>
  <si>
    <t>Q strekk</t>
  </si>
  <si>
    <t>Nødv dim ved 1% fall</t>
  </si>
  <si>
    <t>Faktisk fall</t>
  </si>
  <si>
    <t>Området dimensjoneres med følgende faktorer:</t>
  </si>
  <si>
    <t>Q . 280l/d /pe</t>
  </si>
  <si>
    <t>Fmax 2,8</t>
  </si>
  <si>
    <t>Kmax 1,5</t>
  </si>
  <si>
    <t>Et fremtidig kapasitetsbehov på 20%</t>
  </si>
  <si>
    <t xml:space="preserve">Noen kvartal har for enkelthets skyld fått vannføringen delt opp 50/50 på hver side av kvartalet istedenfor å søke opp hver enkelt tilkobling og beregne spillvann deretter. </t>
  </si>
  <si>
    <t xml:space="preserve">Det er i valg av dimensjon også tatt hensyn til at Markens gate ikke er separert samt at fremtidig utbygning kan være vesentlig større en dagens situasjon. </t>
  </si>
  <si>
    <t>Valgt dimensjon</t>
  </si>
  <si>
    <t>Strekk 27</t>
  </si>
  <si>
    <t>Gyldenløves Gate</t>
  </si>
  <si>
    <t>Strekk 28</t>
  </si>
  <si>
    <t>Strekk 29</t>
  </si>
  <si>
    <t>Strekk 30</t>
  </si>
  <si>
    <t>Strekk 31</t>
  </si>
  <si>
    <t>Strekk 32</t>
  </si>
  <si>
    <t>Strekk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</si>
</sst>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3" x14ac:knownFonts="1">
    <font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165" fontId="0" fillId="0" borderId="0" xfId="0" applyNumberFormat="1"/>
    <xf numFmtId="165" fontId="0" fillId="0" borderId="0" xfId="0" applyNumberFormat="1" applyFont="1"/>
    <xf numFmtId="165" fontId="1" fillId="0" borderId="0" xfId="0" applyNumberFormat="1" applyFont="1"/>
    <xf numFmtId="0" fontId="1" fillId="0" borderId="0" xfId="0" applyFont="1"/>
    <xf numFmtId="165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3"/>
  <sheetViews>
    <sheetView tabSelected="1" topLeftCell="A28" workbookViewId="0">
      <selection activeCell="J56" sqref="J56"/>
    </sheetView>
  </sheetViews>
  <sheetFormatPr baseColWidth="10" defaultColWidth="9.140625" defaultRowHeight="15" x14ac:dyDescent="0.25"/>
  <cols>
    <col min="1" max="1" width="22.42578125" bestFit="1" customWidth="1"/>
    <col min="3" max="3" width="23.28515625" bestFit="1" customWidth="1"/>
    <col min="4" max="4" width="23.28515625" customWidth="1"/>
    <col min="6" max="6" width="20.28515625" bestFit="1" customWidth="1"/>
    <col min="9" max="9" width="19" bestFit="1" customWidth="1"/>
    <col min="10" max="10" width="12" bestFit="1" customWidth="1"/>
    <col min="11" max="11" width="19.7109375" bestFit="1" customWidth="1"/>
    <col min="12" max="12" width="10.42578125" bestFit="1" customWidth="1"/>
  </cols>
  <sheetData>
    <row r="1" spans="1:13" x14ac:dyDescent="0.25">
      <c r="A1" t="s">
        <v>42</v>
      </c>
    </row>
    <row r="2" spans="1:13" x14ac:dyDescent="0.25">
      <c r="A2" t="s">
        <v>43</v>
      </c>
    </row>
    <row r="3" spans="1:13" x14ac:dyDescent="0.25">
      <c r="A3" t="s">
        <v>44</v>
      </c>
    </row>
    <row r="4" spans="1:13" x14ac:dyDescent="0.25">
      <c r="A4" t="s">
        <v>45</v>
      </c>
    </row>
    <row r="5" spans="1:13" x14ac:dyDescent="0.25">
      <c r="A5" t="s">
        <v>46</v>
      </c>
    </row>
    <row r="6" spans="1:13" x14ac:dyDescent="0.25">
      <c r="A6" t="s">
        <v>47</v>
      </c>
    </row>
    <row r="7" spans="1:13" x14ac:dyDescent="0.25">
      <c r="A7" t="s">
        <v>48</v>
      </c>
    </row>
    <row r="9" spans="1:13" x14ac:dyDescent="0.25">
      <c r="A9" t="s">
        <v>0</v>
      </c>
      <c r="B9" t="s">
        <v>31</v>
      </c>
      <c r="C9" t="s">
        <v>33</v>
      </c>
      <c r="D9" t="s">
        <v>37</v>
      </c>
      <c r="E9" t="s">
        <v>38</v>
      </c>
      <c r="F9" t="s">
        <v>32</v>
      </c>
      <c r="G9" t="s">
        <v>34</v>
      </c>
      <c r="H9" t="s">
        <v>35</v>
      </c>
      <c r="I9" t="s">
        <v>36</v>
      </c>
      <c r="J9" t="s">
        <v>39</v>
      </c>
      <c r="K9" t="s">
        <v>40</v>
      </c>
      <c r="L9" t="s">
        <v>41</v>
      </c>
      <c r="M9" t="s">
        <v>49</v>
      </c>
    </row>
    <row r="10" spans="1:13" x14ac:dyDescent="0.25">
      <c r="A10" t="s">
        <v>1</v>
      </c>
      <c r="B10" s="1">
        <v>142</v>
      </c>
      <c r="C10" s="1">
        <v>5805</v>
      </c>
      <c r="D10" s="2">
        <f>B10*280/60/24/24</f>
        <v>1.150462962962963</v>
      </c>
      <c r="E10" s="2">
        <f>C10/365/24/60/60*1000</f>
        <v>0.18407534246575338</v>
      </c>
      <c r="F10" s="2">
        <f>5*3.5*280/24/24/60</f>
        <v>0.14178240740740741</v>
      </c>
      <c r="G10" s="1">
        <v>2.8</v>
      </c>
      <c r="H10" s="1">
        <v>1.5</v>
      </c>
      <c r="I10" s="1">
        <v>1.2</v>
      </c>
      <c r="J10" s="2">
        <f>((D10+E10)*G10*H10*I10)+F10</f>
        <v>6.8678554667681366</v>
      </c>
      <c r="K10" s="1">
        <v>160</v>
      </c>
      <c r="M10" s="1">
        <v>160</v>
      </c>
    </row>
    <row r="11" spans="1:13" x14ac:dyDescent="0.25">
      <c r="A11" t="s">
        <v>2</v>
      </c>
      <c r="B11" s="1">
        <f>62/4</f>
        <v>15.5</v>
      </c>
      <c r="C11" s="1">
        <f>3649/4</f>
        <v>912.25</v>
      </c>
      <c r="D11" s="2">
        <f t="shared" ref="D11:D15" si="0">B11*280/60/24/24</f>
        <v>0.12557870370370369</v>
      </c>
      <c r="E11" s="2">
        <f t="shared" ref="E11:E15" si="1">C11/365/24/60/60*1000</f>
        <v>2.8927257737189242E-2</v>
      </c>
      <c r="F11" s="2">
        <f>J10</f>
        <v>6.8678554667681366</v>
      </c>
      <c r="G11" s="1">
        <v>2.8</v>
      </c>
      <c r="H11" s="1">
        <v>1.5</v>
      </c>
      <c r="I11" s="1">
        <v>1.2</v>
      </c>
      <c r="J11" s="2">
        <f>((D11+E11)*G11*H11*I11)+F11</f>
        <v>7.6465655124302367</v>
      </c>
      <c r="K11" s="1">
        <v>160</v>
      </c>
      <c r="M11" s="1">
        <v>160</v>
      </c>
    </row>
    <row r="12" spans="1:13" x14ac:dyDescent="0.25">
      <c r="A12" t="s">
        <v>3</v>
      </c>
      <c r="B12" s="1">
        <f>B11+187</f>
        <v>202.5</v>
      </c>
      <c r="C12" s="1">
        <f>C11+7017</f>
        <v>7929.25</v>
      </c>
      <c r="D12" s="2">
        <f t="shared" si="0"/>
        <v>1.640625</v>
      </c>
      <c r="E12" s="2">
        <f t="shared" si="1"/>
        <v>0.25143486808726534</v>
      </c>
      <c r="F12" s="2">
        <f>J11</f>
        <v>7.6465655124302367</v>
      </c>
      <c r="G12" s="1">
        <v>2.8</v>
      </c>
      <c r="H12" s="1">
        <v>1.5</v>
      </c>
      <c r="I12" s="1">
        <v>1.2</v>
      </c>
      <c r="J12" s="2">
        <f>((D12+E12)*G12*H12*I12)+F12</f>
        <v>17.182547247590051</v>
      </c>
      <c r="K12" s="1">
        <v>160</v>
      </c>
      <c r="M12" s="1">
        <v>200</v>
      </c>
    </row>
    <row r="13" spans="1:13" x14ac:dyDescent="0.25">
      <c r="A13" t="s">
        <v>4</v>
      </c>
      <c r="B13">
        <v>175</v>
      </c>
      <c r="C13">
        <v>2500</v>
      </c>
      <c r="D13" s="2">
        <f t="shared" si="0"/>
        <v>1.4178240740740742</v>
      </c>
      <c r="E13" s="2">
        <f t="shared" si="1"/>
        <v>7.9274479959411476E-2</v>
      </c>
      <c r="F13" s="2">
        <f t="shared" ref="F13:F15" si="2">J12</f>
        <v>17.182547247590051</v>
      </c>
      <c r="G13" s="1">
        <v>2.8</v>
      </c>
      <c r="H13" s="1">
        <v>1.5</v>
      </c>
      <c r="I13" s="1">
        <v>1.2</v>
      </c>
      <c r="J13" s="2">
        <f t="shared" ref="J13:J18" si="3">((D13+E13)*G13*H13*I13)+F13</f>
        <v>24.727923959918819</v>
      </c>
      <c r="K13" s="1">
        <v>200</v>
      </c>
      <c r="M13" s="1">
        <v>200</v>
      </c>
    </row>
    <row r="14" spans="1:13" x14ac:dyDescent="0.25">
      <c r="A14" t="s">
        <v>5</v>
      </c>
      <c r="B14">
        <f>531</f>
        <v>531</v>
      </c>
      <c r="C14">
        <v>2500</v>
      </c>
      <c r="D14" s="2">
        <f t="shared" si="0"/>
        <v>4.302083333333333</v>
      </c>
      <c r="E14" s="2">
        <f t="shared" si="1"/>
        <v>7.9274479959411476E-2</v>
      </c>
      <c r="F14" s="2">
        <f t="shared" si="2"/>
        <v>24.727923959918819</v>
      </c>
      <c r="G14" s="1">
        <v>2.8</v>
      </c>
      <c r="H14" s="1">
        <v>1.5</v>
      </c>
      <c r="I14" s="1">
        <v>1.2</v>
      </c>
      <c r="J14" s="2">
        <f t="shared" si="3"/>
        <v>46.809967338914248</v>
      </c>
      <c r="K14" s="1">
        <v>250</v>
      </c>
      <c r="M14" s="1">
        <v>250</v>
      </c>
    </row>
    <row r="15" spans="1:13" x14ac:dyDescent="0.25">
      <c r="A15" t="s">
        <v>6</v>
      </c>
      <c r="B15">
        <f>22+140</f>
        <v>162</v>
      </c>
      <c r="C15">
        <f>3372+100+6089</f>
        <v>9561</v>
      </c>
      <c r="D15" s="2">
        <f t="shared" si="0"/>
        <v>1.3125</v>
      </c>
      <c r="E15" s="2">
        <f t="shared" si="1"/>
        <v>0.30317732115677321</v>
      </c>
      <c r="F15" s="2">
        <f t="shared" si="2"/>
        <v>46.809967338914248</v>
      </c>
      <c r="G15" s="1">
        <v>2.8</v>
      </c>
      <c r="H15" s="1">
        <v>1.5</v>
      </c>
      <c r="I15" s="1">
        <v>1.2</v>
      </c>
      <c r="J15" s="3">
        <f t="shared" si="3"/>
        <v>54.952981037544383</v>
      </c>
      <c r="K15" s="1">
        <v>250</v>
      </c>
      <c r="M15" s="1">
        <v>250</v>
      </c>
    </row>
    <row r="16" spans="1:13" x14ac:dyDescent="0.25">
      <c r="D16" s="2"/>
      <c r="E16" s="2"/>
      <c r="F16" s="2"/>
      <c r="G16" s="1"/>
      <c r="H16" s="1"/>
      <c r="I16" s="1"/>
      <c r="J16" s="4">
        <f>SUM(J15)</f>
        <v>54.952981037544383</v>
      </c>
    </row>
    <row r="17" spans="1:13" x14ac:dyDescent="0.25">
      <c r="A17" t="s">
        <v>7</v>
      </c>
      <c r="D17" s="2"/>
      <c r="E17" s="2"/>
      <c r="F17" s="2"/>
      <c r="G17" s="1"/>
      <c r="H17" s="1"/>
      <c r="I17" s="1"/>
      <c r="J17" s="2"/>
    </row>
    <row r="18" spans="1:13" x14ac:dyDescent="0.25">
      <c r="A18" t="s">
        <v>8</v>
      </c>
      <c r="B18">
        <f>(62+200)/4</f>
        <v>65.5</v>
      </c>
      <c r="C18">
        <f>(3649+2958)/4</f>
        <v>1651.75</v>
      </c>
      <c r="D18" s="2">
        <f t="shared" ref="D18:D38" si="4">B18*280/60/24/24</f>
        <v>0.53067129629629639</v>
      </c>
      <c r="E18" s="2">
        <f t="shared" ref="E18:E46" si="5">C18/365/24/60/60*1000</f>
        <v>5.237664890918315E-2</v>
      </c>
      <c r="F18" s="2">
        <f>J17</f>
        <v>0</v>
      </c>
      <c r="G18" s="1">
        <v>2.8</v>
      </c>
      <c r="H18" s="1">
        <v>1.5</v>
      </c>
      <c r="I18" s="1">
        <v>1.2</v>
      </c>
      <c r="J18" s="2">
        <f t="shared" si="3"/>
        <v>2.9385616438356164</v>
      </c>
      <c r="K18" s="1">
        <v>160</v>
      </c>
      <c r="M18" s="1">
        <v>160</v>
      </c>
    </row>
    <row r="19" spans="1:13" x14ac:dyDescent="0.25">
      <c r="A19" t="s">
        <v>9</v>
      </c>
      <c r="B19">
        <f>B18</f>
        <v>65.5</v>
      </c>
      <c r="C19">
        <f>C18</f>
        <v>1651.75</v>
      </c>
      <c r="D19" s="2">
        <f t="shared" si="4"/>
        <v>0.53067129629629639</v>
      </c>
      <c r="E19" s="2">
        <f t="shared" si="5"/>
        <v>5.237664890918315E-2</v>
      </c>
      <c r="F19" s="2">
        <f>J18</f>
        <v>2.9385616438356164</v>
      </c>
      <c r="G19" s="1">
        <v>2.8</v>
      </c>
      <c r="H19" s="1">
        <v>1.5</v>
      </c>
      <c r="I19" s="1">
        <v>1.2</v>
      </c>
      <c r="J19" s="2">
        <f t="shared" ref="J19:J46" si="6">((D19+E19)*G19*H19*I19)+F19</f>
        <v>5.8771232876712327</v>
      </c>
      <c r="K19" s="1">
        <v>160</v>
      </c>
      <c r="M19" s="1">
        <v>160</v>
      </c>
    </row>
    <row r="20" spans="1:13" x14ac:dyDescent="0.25">
      <c r="A20" t="s">
        <v>10</v>
      </c>
      <c r="B20">
        <v>0</v>
      </c>
      <c r="C20">
        <v>0</v>
      </c>
      <c r="D20" s="2">
        <f t="shared" si="4"/>
        <v>0</v>
      </c>
      <c r="E20" s="2">
        <f t="shared" si="5"/>
        <v>0</v>
      </c>
      <c r="F20" s="2">
        <f>J19</f>
        <v>5.8771232876712327</v>
      </c>
      <c r="G20" s="1">
        <v>2.8</v>
      </c>
      <c r="H20" s="1">
        <v>1.5</v>
      </c>
      <c r="I20" s="1">
        <v>1.2</v>
      </c>
      <c r="J20" s="2">
        <f t="shared" si="6"/>
        <v>5.8771232876712327</v>
      </c>
      <c r="K20" s="1">
        <v>160</v>
      </c>
      <c r="M20" s="1">
        <v>160</v>
      </c>
    </row>
    <row r="21" spans="1:13" x14ac:dyDescent="0.25">
      <c r="A21" t="s">
        <v>11</v>
      </c>
      <c r="B21">
        <v>0</v>
      </c>
      <c r="C21">
        <v>0</v>
      </c>
      <c r="D21" s="2">
        <f t="shared" si="4"/>
        <v>0</v>
      </c>
      <c r="E21" s="2">
        <f t="shared" si="5"/>
        <v>0</v>
      </c>
      <c r="F21" s="2">
        <f t="shared" ref="F21:F39" si="7">J20</f>
        <v>5.8771232876712327</v>
      </c>
      <c r="G21" s="1">
        <v>2.8</v>
      </c>
      <c r="H21" s="1">
        <v>1.5</v>
      </c>
      <c r="I21" s="1">
        <v>1.2</v>
      </c>
      <c r="J21" s="2">
        <f t="shared" si="6"/>
        <v>5.8771232876712327</v>
      </c>
      <c r="K21" s="1">
        <v>160</v>
      </c>
      <c r="M21" s="1">
        <v>160</v>
      </c>
    </row>
    <row r="22" spans="1:13" x14ac:dyDescent="0.25">
      <c r="A22" t="s">
        <v>12</v>
      </c>
      <c r="B22">
        <f>11/4</f>
        <v>2.75</v>
      </c>
      <c r="C22">
        <f>11000/4</f>
        <v>2750</v>
      </c>
      <c r="D22" s="2">
        <f t="shared" si="4"/>
        <v>2.2280092592592591E-2</v>
      </c>
      <c r="E22" s="2">
        <f t="shared" si="5"/>
        <v>8.7201927955352615E-2</v>
      </c>
      <c r="F22" s="2">
        <f t="shared" si="7"/>
        <v>5.8771232876712327</v>
      </c>
      <c r="G22" s="1">
        <v>2.8</v>
      </c>
      <c r="H22" s="1">
        <v>1.5</v>
      </c>
      <c r="I22" s="1">
        <v>1.2</v>
      </c>
      <c r="J22" s="2">
        <f>((D22+E22)*G22*H22*I22)+F22</f>
        <v>6.4289126712328768</v>
      </c>
      <c r="K22" s="1">
        <v>160</v>
      </c>
      <c r="M22" s="1">
        <v>200</v>
      </c>
    </row>
    <row r="23" spans="1:13" x14ac:dyDescent="0.25">
      <c r="A23" t="s">
        <v>13</v>
      </c>
      <c r="B23">
        <f>B22</f>
        <v>2.75</v>
      </c>
      <c r="C23">
        <f>C22</f>
        <v>2750</v>
      </c>
      <c r="D23" s="2">
        <f t="shared" si="4"/>
        <v>2.2280092592592591E-2</v>
      </c>
      <c r="E23" s="2">
        <f t="shared" si="5"/>
        <v>8.7201927955352615E-2</v>
      </c>
      <c r="F23" s="2">
        <f t="shared" si="7"/>
        <v>6.4289126712328768</v>
      </c>
      <c r="G23" s="1">
        <v>2.8</v>
      </c>
      <c r="H23" s="1">
        <v>1.5</v>
      </c>
      <c r="I23" s="1">
        <v>1.2</v>
      </c>
      <c r="J23" s="3">
        <f>((D23+E23)*G23*H23*I23)+F23</f>
        <v>6.9807020547945209</v>
      </c>
      <c r="K23" s="1">
        <v>160</v>
      </c>
      <c r="M23" s="1">
        <v>200</v>
      </c>
    </row>
    <row r="24" spans="1:13" x14ac:dyDescent="0.25">
      <c r="D24" s="2"/>
      <c r="E24" s="2"/>
      <c r="F24" s="2"/>
      <c r="G24" s="1"/>
      <c r="H24" s="1"/>
      <c r="I24" s="1"/>
      <c r="J24" s="4">
        <f>SUM(J23)</f>
        <v>6.9807020547945209</v>
      </c>
    </row>
    <row r="25" spans="1:13" x14ac:dyDescent="0.25">
      <c r="A25" t="s">
        <v>14</v>
      </c>
      <c r="D25" s="2"/>
      <c r="E25" s="2"/>
      <c r="F25" s="2"/>
      <c r="G25" s="1"/>
      <c r="H25" s="1"/>
      <c r="I25" s="1"/>
      <c r="J25" s="2"/>
    </row>
    <row r="26" spans="1:13" x14ac:dyDescent="0.25">
      <c r="A26" t="s">
        <v>15</v>
      </c>
      <c r="B26">
        <f>(200+83)/4</f>
        <v>70.75</v>
      </c>
      <c r="C26">
        <f>(2958+4266)/4</f>
        <v>1806</v>
      </c>
      <c r="D26" s="2">
        <f>B26*280/60/24/24</f>
        <v>0.57320601851851849</v>
      </c>
      <c r="E26" s="2">
        <f t="shared" si="5"/>
        <v>5.726788432267884E-2</v>
      </c>
      <c r="F26" s="2">
        <f t="shared" si="7"/>
        <v>0</v>
      </c>
      <c r="G26" s="1">
        <v>2.8</v>
      </c>
      <c r="H26" s="1">
        <v>1.5</v>
      </c>
      <c r="I26" s="1">
        <v>1.2</v>
      </c>
      <c r="J26" s="2">
        <f t="shared" si="6"/>
        <v>3.177588470319634</v>
      </c>
      <c r="K26" s="1">
        <v>160</v>
      </c>
      <c r="M26" s="1">
        <v>160</v>
      </c>
    </row>
    <row r="27" spans="1:13" x14ac:dyDescent="0.25">
      <c r="A27" t="s">
        <v>16</v>
      </c>
      <c r="B27">
        <f>B26</f>
        <v>70.75</v>
      </c>
      <c r="C27">
        <f>C26</f>
        <v>1806</v>
      </c>
      <c r="D27" s="2">
        <f t="shared" si="4"/>
        <v>0.57320601851851849</v>
      </c>
      <c r="E27" s="2">
        <f>C27/365/24/60/60*1000</f>
        <v>5.726788432267884E-2</v>
      </c>
      <c r="F27" s="2">
        <f t="shared" si="7"/>
        <v>3.177588470319634</v>
      </c>
      <c r="G27" s="1">
        <v>2.8</v>
      </c>
      <c r="H27" s="1">
        <v>1.5</v>
      </c>
      <c r="I27" s="1">
        <v>1.2</v>
      </c>
      <c r="J27" s="2">
        <f t="shared" si="6"/>
        <v>6.355176940639268</v>
      </c>
      <c r="K27" s="1">
        <v>160</v>
      </c>
      <c r="M27" s="1">
        <v>160</v>
      </c>
    </row>
    <row r="28" spans="1:13" x14ac:dyDescent="0.25">
      <c r="A28" t="s">
        <v>17</v>
      </c>
      <c r="B28">
        <v>10</v>
      </c>
      <c r="C28">
        <f>10762/4</f>
        <v>2690.5</v>
      </c>
      <c r="D28" s="2">
        <f t="shared" si="4"/>
        <v>8.1018518518518517E-2</v>
      </c>
      <c r="E28" s="2">
        <f t="shared" si="5"/>
        <v>8.53151953323186E-2</v>
      </c>
      <c r="F28" s="2">
        <f t="shared" si="7"/>
        <v>6.355176940639268</v>
      </c>
      <c r="G28" s="1">
        <v>2.8</v>
      </c>
      <c r="H28" s="1">
        <v>1.5</v>
      </c>
      <c r="I28" s="1">
        <v>1.2</v>
      </c>
      <c r="J28" s="2">
        <f t="shared" si="6"/>
        <v>7.1934988584474873</v>
      </c>
      <c r="K28" s="1">
        <v>160</v>
      </c>
      <c r="M28" s="1">
        <v>200</v>
      </c>
    </row>
    <row r="29" spans="1:13" x14ac:dyDescent="0.25">
      <c r="A29" t="s">
        <v>18</v>
      </c>
      <c r="B29">
        <f>10+25</f>
        <v>35</v>
      </c>
      <c r="C29">
        <f>6518+(10762/4)</f>
        <v>9208.5</v>
      </c>
      <c r="D29" s="2">
        <f t="shared" si="4"/>
        <v>0.28356481481481483</v>
      </c>
      <c r="E29" s="2">
        <f t="shared" si="5"/>
        <v>0.29199961948249614</v>
      </c>
      <c r="F29" s="2">
        <f t="shared" si="7"/>
        <v>7.1934988584474873</v>
      </c>
      <c r="G29" s="1">
        <v>2.8</v>
      </c>
      <c r="H29" s="1">
        <v>1.5</v>
      </c>
      <c r="I29" s="1">
        <v>1.2</v>
      </c>
      <c r="J29" s="2">
        <f t="shared" si="6"/>
        <v>10.094343607305934</v>
      </c>
      <c r="K29" s="1">
        <v>160</v>
      </c>
      <c r="M29" s="1">
        <v>200</v>
      </c>
    </row>
    <row r="30" spans="1:13" x14ac:dyDescent="0.25">
      <c r="A30" t="s">
        <v>19</v>
      </c>
      <c r="B30">
        <f>(11+49)/4</f>
        <v>15</v>
      </c>
      <c r="C30">
        <f>(11000+12681)/4</f>
        <v>5920.25</v>
      </c>
      <c r="D30" s="2">
        <f t="shared" si="4"/>
        <v>0.12152777777777778</v>
      </c>
      <c r="E30" s="2">
        <f t="shared" si="5"/>
        <v>0.18772989599188233</v>
      </c>
      <c r="F30" s="2">
        <f t="shared" si="7"/>
        <v>10.094343607305934</v>
      </c>
      <c r="G30" s="1">
        <v>2.8</v>
      </c>
      <c r="H30" s="1">
        <v>1.5</v>
      </c>
      <c r="I30" s="1">
        <v>1.2</v>
      </c>
      <c r="J30" s="2">
        <f t="shared" si="6"/>
        <v>11.653002283105021</v>
      </c>
      <c r="K30" s="1">
        <v>160</v>
      </c>
      <c r="M30" s="1">
        <v>250</v>
      </c>
    </row>
    <row r="31" spans="1:13" x14ac:dyDescent="0.25">
      <c r="A31" t="s">
        <v>20</v>
      </c>
      <c r="B31">
        <f>B30</f>
        <v>15</v>
      </c>
      <c r="C31">
        <f>C30</f>
        <v>5920.25</v>
      </c>
      <c r="D31" s="2">
        <f>B31*280/60/24/24</f>
        <v>0.12152777777777778</v>
      </c>
      <c r="E31" s="2">
        <f t="shared" si="5"/>
        <v>0.18772989599188233</v>
      </c>
      <c r="F31" s="2">
        <f t="shared" si="7"/>
        <v>11.653002283105021</v>
      </c>
      <c r="G31" s="1">
        <v>2.8</v>
      </c>
      <c r="H31" s="1">
        <v>1.5</v>
      </c>
      <c r="I31" s="1">
        <v>1.2</v>
      </c>
      <c r="J31" s="2">
        <f t="shared" si="6"/>
        <v>13.211660958904108</v>
      </c>
      <c r="K31" s="1">
        <v>160</v>
      </c>
      <c r="M31" s="1">
        <v>250</v>
      </c>
    </row>
    <row r="32" spans="1:13" x14ac:dyDescent="0.25">
      <c r="D32" s="2"/>
      <c r="E32" s="2"/>
      <c r="F32" s="2"/>
      <c r="G32" s="1"/>
      <c r="H32" s="1"/>
      <c r="I32" s="1"/>
      <c r="J32" s="4">
        <f>SUM(J31)</f>
        <v>13.211660958904108</v>
      </c>
    </row>
    <row r="33" spans="1:13" x14ac:dyDescent="0.25">
      <c r="A33" t="s">
        <v>21</v>
      </c>
      <c r="D33" s="2"/>
      <c r="E33" s="2"/>
      <c r="F33" s="2"/>
      <c r="G33" s="1"/>
      <c r="H33" s="1"/>
      <c r="I33" s="1"/>
      <c r="J33" s="2"/>
    </row>
    <row r="34" spans="1:13" x14ac:dyDescent="0.25">
      <c r="A34" t="s">
        <v>22</v>
      </c>
      <c r="B34">
        <f>(83+70)/4</f>
        <v>38.25</v>
      </c>
      <c r="C34">
        <f>(4255+6290)/4</f>
        <v>2636.25</v>
      </c>
      <c r="D34" s="2">
        <f>B34*280/60/24/24</f>
        <v>0.30989583333333331</v>
      </c>
      <c r="E34" s="2">
        <f t="shared" si="5"/>
        <v>8.3594939117199382E-2</v>
      </c>
      <c r="F34" s="2">
        <f t="shared" si="7"/>
        <v>0</v>
      </c>
      <c r="G34" s="1">
        <v>2.8</v>
      </c>
      <c r="H34" s="1">
        <v>1.5</v>
      </c>
      <c r="I34" s="1">
        <v>1.2</v>
      </c>
      <c r="J34" s="2">
        <f t="shared" si="6"/>
        <v>1.9831934931506847</v>
      </c>
      <c r="K34" s="1">
        <v>160</v>
      </c>
      <c r="M34" s="1">
        <v>160</v>
      </c>
    </row>
    <row r="35" spans="1:13" x14ac:dyDescent="0.25">
      <c r="A35" t="s">
        <v>23</v>
      </c>
      <c r="B35">
        <f>B34</f>
        <v>38.25</v>
      </c>
      <c r="C35">
        <f>C34</f>
        <v>2636.25</v>
      </c>
      <c r="D35" s="2">
        <f t="shared" si="4"/>
        <v>0.30989583333333331</v>
      </c>
      <c r="E35" s="2">
        <f t="shared" si="5"/>
        <v>8.3594939117199382E-2</v>
      </c>
      <c r="F35" s="2">
        <f>J34</f>
        <v>1.9831934931506847</v>
      </c>
      <c r="G35" s="1">
        <v>2.8</v>
      </c>
      <c r="H35" s="1">
        <v>1.5</v>
      </c>
      <c r="I35" s="1">
        <v>1.2</v>
      </c>
      <c r="J35" s="2">
        <f t="shared" si="6"/>
        <v>3.9663869863013694</v>
      </c>
      <c r="K35" s="1">
        <v>160</v>
      </c>
      <c r="M35" s="1">
        <v>160</v>
      </c>
    </row>
    <row r="36" spans="1:13" x14ac:dyDescent="0.25">
      <c r="A36" t="s">
        <v>24</v>
      </c>
      <c r="B36">
        <f>(40+9)/4</f>
        <v>12.25</v>
      </c>
      <c r="C36">
        <f>(10762+2956)/4</f>
        <v>3429.5</v>
      </c>
      <c r="D36" s="2">
        <f t="shared" si="4"/>
        <v>9.9247685185185175E-2</v>
      </c>
      <c r="E36" s="2">
        <f t="shared" si="5"/>
        <v>0.10874873160832065</v>
      </c>
      <c r="F36" s="2">
        <f t="shared" si="7"/>
        <v>3.9663869863013694</v>
      </c>
      <c r="G36" s="1">
        <v>2.8</v>
      </c>
      <c r="H36" s="1">
        <v>1.5</v>
      </c>
      <c r="I36" s="1">
        <v>1.2</v>
      </c>
      <c r="J36" s="2">
        <f t="shared" si="6"/>
        <v>5.0146889269406385</v>
      </c>
      <c r="K36" s="1">
        <v>160</v>
      </c>
      <c r="M36" s="1">
        <v>200</v>
      </c>
    </row>
    <row r="37" spans="1:13" x14ac:dyDescent="0.25">
      <c r="A37" t="s">
        <v>25</v>
      </c>
      <c r="B37">
        <f>B36</f>
        <v>12.25</v>
      </c>
      <c r="C37">
        <f>C36</f>
        <v>3429.5</v>
      </c>
      <c r="D37" s="2">
        <f>B37*280/60/24/24</f>
        <v>9.9247685185185175E-2</v>
      </c>
      <c r="E37" s="2">
        <f t="shared" si="5"/>
        <v>0.10874873160832065</v>
      </c>
      <c r="F37" s="2">
        <f t="shared" si="7"/>
        <v>5.0146889269406385</v>
      </c>
      <c r="G37" s="1">
        <v>2.8</v>
      </c>
      <c r="H37" s="1">
        <v>1.5</v>
      </c>
      <c r="I37" s="1">
        <v>1.2</v>
      </c>
      <c r="J37" s="2">
        <f t="shared" si="6"/>
        <v>6.0629908675799076</v>
      </c>
      <c r="K37" s="1">
        <v>160</v>
      </c>
      <c r="M37" s="1">
        <v>200</v>
      </c>
    </row>
    <row r="38" spans="1:13" x14ac:dyDescent="0.25">
      <c r="A38" t="s">
        <v>26</v>
      </c>
      <c r="B38">
        <f>(49+46)/4</f>
        <v>23.75</v>
      </c>
      <c r="C38">
        <f>(12681+8405)/4</f>
        <v>5271.5</v>
      </c>
      <c r="D38" s="2">
        <f t="shared" si="4"/>
        <v>0.19241898148148148</v>
      </c>
      <c r="E38" s="2">
        <f t="shared" si="5"/>
        <v>0.16715816844241504</v>
      </c>
      <c r="F38" s="2">
        <f t="shared" si="7"/>
        <v>6.0629908675799076</v>
      </c>
      <c r="G38" s="1">
        <v>2.8</v>
      </c>
      <c r="H38" s="1">
        <v>1.5</v>
      </c>
      <c r="I38" s="1">
        <v>1.2</v>
      </c>
      <c r="J38" s="2">
        <f t="shared" si="6"/>
        <v>7.8752597031963454</v>
      </c>
      <c r="K38" s="1">
        <v>160</v>
      </c>
      <c r="M38" s="1">
        <v>250</v>
      </c>
    </row>
    <row r="39" spans="1:13" x14ac:dyDescent="0.25">
      <c r="A39" t="s">
        <v>27</v>
      </c>
      <c r="B39">
        <f>B38</f>
        <v>23.75</v>
      </c>
      <c r="C39">
        <f>C38</f>
        <v>5271.5</v>
      </c>
      <c r="D39" s="2">
        <f>B39*280/60/24/24</f>
        <v>0.19241898148148148</v>
      </c>
      <c r="E39" s="2">
        <f t="shared" si="5"/>
        <v>0.16715816844241504</v>
      </c>
      <c r="F39" s="2">
        <f t="shared" si="7"/>
        <v>7.8752597031963454</v>
      </c>
      <c r="G39" s="1">
        <v>2.8</v>
      </c>
      <c r="H39" s="1">
        <v>1.5</v>
      </c>
      <c r="I39" s="1">
        <v>1.2</v>
      </c>
      <c r="J39" s="2">
        <f t="shared" si="6"/>
        <v>9.6875285388127832</v>
      </c>
      <c r="K39" s="1">
        <v>160</v>
      </c>
      <c r="M39" s="1">
        <v>250</v>
      </c>
    </row>
    <row r="40" spans="1:13" x14ac:dyDescent="0.25">
      <c r="D40" s="2"/>
      <c r="E40" s="2"/>
      <c r="F40" s="2"/>
      <c r="G40" s="1"/>
      <c r="H40" s="1"/>
      <c r="I40" s="1"/>
      <c r="J40" s="6">
        <f>J39</f>
        <v>9.6875285388127832</v>
      </c>
      <c r="K40" s="1"/>
      <c r="M40" s="1"/>
    </row>
    <row r="41" spans="1:13" x14ac:dyDescent="0.25">
      <c r="A41" t="s">
        <v>51</v>
      </c>
      <c r="D41" s="2"/>
      <c r="E41" s="2"/>
      <c r="F41" s="2"/>
      <c r="G41" s="1"/>
      <c r="H41" s="1"/>
      <c r="I41" s="1"/>
      <c r="J41" s="2"/>
      <c r="K41" s="1"/>
      <c r="M41" s="1"/>
    </row>
    <row r="42" spans="1:13" x14ac:dyDescent="0.25">
      <c r="A42" t="s">
        <v>53</v>
      </c>
      <c r="B42">
        <f>70/2</f>
        <v>35</v>
      </c>
      <c r="C42">
        <f>6290/2</f>
        <v>3145</v>
      </c>
      <c r="D42" s="2">
        <f>B42*280/60/24/24</f>
        <v>0.28356481481481483</v>
      </c>
      <c r="E42" s="2">
        <f>C42/365/24/60/60*1000</f>
        <v>9.9727295788939616E-2</v>
      </c>
      <c r="F42" s="2">
        <v>0</v>
      </c>
      <c r="G42" s="1">
        <v>2.8</v>
      </c>
      <c r="H42" s="1">
        <v>1.5</v>
      </c>
      <c r="I42" s="1">
        <v>1.2</v>
      </c>
      <c r="J42" s="2">
        <f>((D42+E42)*G42*H42*I42)+F42</f>
        <v>1.9317922374429222</v>
      </c>
      <c r="K42" s="1">
        <v>160</v>
      </c>
      <c r="L42" s="1"/>
      <c r="M42" s="1">
        <v>160</v>
      </c>
    </row>
    <row r="43" spans="1:13" x14ac:dyDescent="0.25">
      <c r="A43" t="s">
        <v>54</v>
      </c>
      <c r="B43">
        <f>(9/4)+2</f>
        <v>4.25</v>
      </c>
      <c r="C43">
        <f>(2956/4)+98</f>
        <v>837</v>
      </c>
      <c r="D43" s="2">
        <f t="shared" ref="D40:D46" si="8">B43*280/60/24/24</f>
        <v>3.4432870370370371E-2</v>
      </c>
      <c r="E43" s="2">
        <f t="shared" si="5"/>
        <v>2.6541095890410957E-2</v>
      </c>
      <c r="F43" s="2">
        <f>J42</f>
        <v>1.9317922374429222</v>
      </c>
      <c r="G43" s="1">
        <v>2.8</v>
      </c>
      <c r="H43" s="1">
        <v>1.5</v>
      </c>
      <c r="I43" s="1">
        <v>1.2</v>
      </c>
      <c r="J43" s="2">
        <f>((D43+E43)*G43*H43*I43)+F43</f>
        <v>2.2391010273972602</v>
      </c>
      <c r="K43" s="1">
        <v>160</v>
      </c>
      <c r="L43" s="1"/>
      <c r="M43" s="1">
        <v>160</v>
      </c>
    </row>
    <row r="44" spans="1:13" x14ac:dyDescent="0.25">
      <c r="A44" t="s">
        <v>55</v>
      </c>
      <c r="B44">
        <f>(9/4)+2</f>
        <v>4.25</v>
      </c>
      <c r="C44">
        <f>(2956/4)+1580/2</f>
        <v>1529</v>
      </c>
      <c r="D44" s="2">
        <f t="shared" si="8"/>
        <v>3.4432870370370371E-2</v>
      </c>
      <c r="E44" s="2">
        <f t="shared" si="5"/>
        <v>4.848427194317606E-2</v>
      </c>
      <c r="F44" s="2">
        <f>J43</f>
        <v>2.2391010273972602</v>
      </c>
      <c r="G44" s="1">
        <v>2.8</v>
      </c>
      <c r="H44" s="1">
        <v>1.5</v>
      </c>
      <c r="I44" s="1">
        <v>1.2</v>
      </c>
      <c r="J44" s="2">
        <f t="shared" si="6"/>
        <v>2.6570034246575345</v>
      </c>
      <c r="K44" s="1">
        <v>160</v>
      </c>
      <c r="L44" s="1"/>
      <c r="M44" s="1">
        <v>160</v>
      </c>
    </row>
    <row r="45" spans="1:13" x14ac:dyDescent="0.25">
      <c r="A45" t="s">
        <v>56</v>
      </c>
      <c r="B45">
        <f>(46/4)+(13/4)</f>
        <v>14.75</v>
      </c>
      <c r="C45">
        <f>(8405/4)+13573/4</f>
        <v>5494.5</v>
      </c>
      <c r="D45" s="2">
        <f t="shared" si="8"/>
        <v>0.11950231481481481</v>
      </c>
      <c r="E45" s="2">
        <f t="shared" si="5"/>
        <v>0.17422945205479451</v>
      </c>
      <c r="F45" s="2">
        <f>J44</f>
        <v>2.6570034246575345</v>
      </c>
      <c r="G45" s="1">
        <v>2.8</v>
      </c>
      <c r="H45" s="1">
        <v>1.5</v>
      </c>
      <c r="I45" s="1">
        <v>1.2</v>
      </c>
      <c r="J45" s="2">
        <f t="shared" si="6"/>
        <v>4.1374115296803655</v>
      </c>
      <c r="K45" s="1">
        <v>160</v>
      </c>
      <c r="L45" s="1"/>
      <c r="M45" s="1">
        <v>200</v>
      </c>
    </row>
    <row r="46" spans="1:13" x14ac:dyDescent="0.25">
      <c r="A46" t="s">
        <v>57</v>
      </c>
      <c r="B46">
        <f>(46/4)+(13/4)</f>
        <v>14.75</v>
      </c>
      <c r="C46">
        <f>(8405/4)+13573/4</f>
        <v>5494.5</v>
      </c>
      <c r="D46" s="2">
        <f t="shared" si="8"/>
        <v>0.11950231481481481</v>
      </c>
      <c r="E46" s="2">
        <f t="shared" si="5"/>
        <v>0.17422945205479451</v>
      </c>
      <c r="F46" s="2">
        <f>J45</f>
        <v>4.1374115296803655</v>
      </c>
      <c r="G46" s="1">
        <v>2.8</v>
      </c>
      <c r="H46" s="1">
        <v>1.5</v>
      </c>
      <c r="I46" s="1">
        <v>1.2</v>
      </c>
      <c r="J46" s="2">
        <f>((D46+E46)*G46*H46*I46)+F46</f>
        <v>5.6178196347031966</v>
      </c>
      <c r="K46" s="1">
        <v>160</v>
      </c>
      <c r="L46" s="1"/>
      <c r="M46" s="1">
        <v>200</v>
      </c>
    </row>
    <row r="47" spans="1:13" x14ac:dyDescent="0.25">
      <c r="D47" s="2"/>
      <c r="E47" s="2"/>
      <c r="F47" s="2"/>
      <c r="G47" s="1"/>
      <c r="H47" s="1"/>
      <c r="I47" s="1"/>
      <c r="J47" s="6">
        <f>J46</f>
        <v>5.6178196347031966</v>
      </c>
      <c r="K47" s="1"/>
      <c r="M47" s="1"/>
    </row>
    <row r="48" spans="1:13" x14ac:dyDescent="0.25">
      <c r="D48" s="2"/>
      <c r="E48" s="2"/>
      <c r="F48" s="2"/>
      <c r="G48" s="1"/>
      <c r="H48" s="1"/>
      <c r="I48" s="1"/>
      <c r="J48" s="4"/>
    </row>
    <row r="49" spans="1:13" x14ac:dyDescent="0.25">
      <c r="A49" t="s">
        <v>28</v>
      </c>
      <c r="D49" s="2"/>
      <c r="E49" s="2"/>
      <c r="F49" s="2"/>
      <c r="G49" s="1"/>
      <c r="H49" s="1"/>
      <c r="I49" s="1"/>
      <c r="J49" s="2"/>
    </row>
    <row r="50" spans="1:13" x14ac:dyDescent="0.25">
      <c r="A50" t="s">
        <v>29</v>
      </c>
      <c r="B50" s="4"/>
      <c r="C50" s="5"/>
      <c r="J50" s="2">
        <f>J24</f>
        <v>6.9807020547945209</v>
      </c>
      <c r="K50" s="1">
        <v>160</v>
      </c>
      <c r="M50" s="1">
        <v>200</v>
      </c>
    </row>
    <row r="51" spans="1:13" x14ac:dyDescent="0.25">
      <c r="A51" t="s">
        <v>30</v>
      </c>
      <c r="B51" s="4"/>
      <c r="C51" s="5"/>
      <c r="J51" s="2">
        <f>J32+J24</f>
        <v>20.192363013698628</v>
      </c>
      <c r="K51" s="1">
        <v>200</v>
      </c>
      <c r="M51">
        <v>315</v>
      </c>
    </row>
    <row r="52" spans="1:13" x14ac:dyDescent="0.25">
      <c r="A52" t="s">
        <v>50</v>
      </c>
      <c r="J52" s="2">
        <f>J51+J40</f>
        <v>29.87989155251141</v>
      </c>
      <c r="K52" s="1">
        <v>200</v>
      </c>
      <c r="M52">
        <v>315</v>
      </c>
    </row>
    <row r="53" spans="1:13" x14ac:dyDescent="0.25">
      <c r="A53" t="s">
        <v>52</v>
      </c>
      <c r="J53" s="2">
        <f>J52+J47</f>
        <v>35.497711187214605</v>
      </c>
      <c r="K53" s="1">
        <v>200</v>
      </c>
      <c r="M53">
        <v>315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2018-08-31T09:18:47Z</dcterms:modified>
</cp:coreProperties>
</file>